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9720" windowHeight="7320" activeTab="0"/>
  </bookViews>
  <sheets>
    <sheet name="Training Budget" sheetId="1" r:id="rId1"/>
  </sheets>
  <definedNames>
    <definedName name="LANGSET">'Training Budget'!$A$62</definedName>
  </definedNames>
  <calcPr fullCalcOnLoad="1"/>
</workbook>
</file>

<file path=xl/comments1.xml><?xml version="1.0" encoding="utf-8"?>
<comments xmlns="http://schemas.openxmlformats.org/spreadsheetml/2006/main">
  <authors>
    <author>Natalya Vasylenko</author>
  </authors>
  <commentList>
    <comment ref="B3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укажите фирму или частного предпринемателя, который  организовывает  тренинг</t>
        </r>
      </text>
    </comment>
    <comment ref="B5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укажите адрес,где будет проходить тренинг </t>
        </r>
      </text>
    </comment>
    <comment ref="B6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укажите дни и время проведения тренингов,
например 
15.01.2003 (16:00-20:00)
16.01.2003 (17:00-19:00)</t>
        </r>
      </text>
    </comment>
    <comment ref="B9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B10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B11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B12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B13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B15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19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20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21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22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23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27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28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29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E28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E29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E33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E34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E35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39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40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41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42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</commentList>
</comments>
</file>

<file path=xl/sharedStrings.xml><?xml version="1.0" encoding="utf-8"?>
<sst xmlns="http://schemas.openxmlformats.org/spreadsheetml/2006/main" count="5" uniqueCount="5">
  <si>
    <t>Total Travel Costs</t>
  </si>
  <si>
    <t>City</t>
  </si>
  <si>
    <t>Street</t>
  </si>
  <si>
    <t>Time</t>
  </si>
  <si>
    <t>Audit Firm or PE or NMC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</si>
</sst>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);\(0\)"/>
    <numFmt numFmtId="184" formatCode="\U\Ah"/>
  </numFmts>
  <fonts count="16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9"/>
      <name val="Arial"/>
      <family val="2"/>
    </font>
    <font>
      <sz val="9"/>
      <name val="Arial Narrow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 Narrow"/>
      <family val="2"/>
    </font>
    <font>
      <sz val="8"/>
      <color indexed="12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44" fontId="4" fillId="0" borderId="0" xfId="17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7" applyFont="1" applyAlignment="1">
      <alignment horizontal="center"/>
    </xf>
    <xf numFmtId="44" fontId="4" fillId="0" borderId="1" xfId="17" applyFont="1" applyBorder="1" applyAlignment="1">
      <alignment/>
    </xf>
    <xf numFmtId="0" fontId="4" fillId="0" borderId="1" xfId="0" applyFont="1" applyBorder="1" applyAlignment="1">
      <alignment/>
    </xf>
    <xf numFmtId="44" fontId="4" fillId="0" borderId="2" xfId="17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44" fontId="3" fillId="0" borderId="0" xfId="17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44" fontId="7" fillId="0" borderId="0" xfId="17" applyFont="1" applyFill="1" applyAlignment="1">
      <alignment/>
    </xf>
    <xf numFmtId="0" fontId="8" fillId="0" borderId="0" xfId="0" applyFont="1" applyFill="1" applyAlignment="1">
      <alignment/>
    </xf>
    <xf numFmtId="44" fontId="8" fillId="0" borderId="0" xfId="17" applyFont="1" applyFill="1" applyAlignment="1">
      <alignment/>
    </xf>
    <xf numFmtId="44" fontId="9" fillId="0" borderId="0" xfId="17" applyFont="1" applyFill="1" applyAlignment="1">
      <alignment/>
    </xf>
    <xf numFmtId="44" fontId="4" fillId="0" borderId="0" xfId="17" applyFont="1" applyFill="1" applyAlignment="1">
      <alignment/>
    </xf>
    <xf numFmtId="44" fontId="10" fillId="0" borderId="0" xfId="17" applyFont="1" applyFill="1" applyAlignment="1">
      <alignment/>
    </xf>
    <xf numFmtId="9" fontId="7" fillId="0" borderId="3" xfId="2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4" fillId="0" borderId="0" xfId="17" applyFont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44" fontId="3" fillId="2" borderId="8" xfId="17" applyFont="1" applyFill="1" applyBorder="1" applyAlignment="1">
      <alignment/>
    </xf>
    <xf numFmtId="44" fontId="3" fillId="2" borderId="9" xfId="17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0" fontId="12" fillId="0" borderId="0" xfId="0" applyNumberFormat="1" applyFont="1" applyAlignment="1" applyProtection="1">
      <alignment horizontal="right"/>
      <protection locked="0"/>
    </xf>
    <xf numFmtId="0" fontId="12" fillId="0" borderId="0" xfId="0" applyNumberFormat="1" applyFont="1" applyAlignment="1" applyProtection="1">
      <alignment/>
      <protection locked="0"/>
    </xf>
    <xf numFmtId="44" fontId="6" fillId="0" borderId="0" xfId="0" applyNumberFormat="1" applyFont="1" applyAlignment="1">
      <alignment/>
    </xf>
    <xf numFmtId="0" fontId="4" fillId="0" borderId="3" xfId="0" applyFont="1" applyBorder="1" applyAlignment="1" applyProtection="1">
      <alignment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4" xfId="0" applyFont="1" applyBorder="1" applyAlignment="1" applyProtection="1">
      <alignment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/>
      <protection hidden="1"/>
    </xf>
    <xf numFmtId="0" fontId="3" fillId="2" borderId="6" xfId="0" applyFont="1" applyFill="1" applyBorder="1" applyAlignment="1" applyProtection="1">
      <alignment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4" fillId="0" borderId="15" xfId="0" applyFont="1" applyBorder="1" applyAlignment="1" applyProtection="1">
      <alignment horizontal="left" vertical="top"/>
      <protection hidden="1"/>
    </xf>
    <xf numFmtId="0" fontId="4" fillId="0" borderId="16" xfId="0" applyFont="1" applyBorder="1" applyAlignment="1" applyProtection="1">
      <alignment horizontal="left" vertical="top"/>
      <protection hidden="1"/>
    </xf>
    <xf numFmtId="0" fontId="4" fillId="0" borderId="16" xfId="0" applyFont="1" applyBorder="1" applyAlignment="1" applyProtection="1">
      <alignment horizontal="center" vertical="top" wrapText="1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/>
      <protection hidden="1"/>
    </xf>
    <xf numFmtId="0" fontId="3" fillId="2" borderId="13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9" fontId="3" fillId="0" borderId="0" xfId="2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183" fontId="4" fillId="0" borderId="0" xfId="17" applyNumberFormat="1" applyFont="1" applyAlignment="1" applyProtection="1">
      <alignment/>
      <protection hidden="1" locked="0"/>
    </xf>
    <xf numFmtId="0" fontId="6" fillId="0" borderId="19" xfId="0" applyFont="1" applyBorder="1" applyAlignment="1">
      <alignment horizontal="center"/>
    </xf>
    <xf numFmtId="44" fontId="6" fillId="0" borderId="19" xfId="17" applyFont="1" applyBorder="1" applyAlignment="1">
      <alignment horizontal="center"/>
    </xf>
    <xf numFmtId="43" fontId="7" fillId="0" borderId="3" xfId="15" applyFont="1" applyBorder="1" applyAlignment="1" applyProtection="1">
      <alignment/>
      <protection locked="0"/>
    </xf>
    <xf numFmtId="43" fontId="8" fillId="0" borderId="3" xfId="17" applyNumberFormat="1" applyFont="1" applyBorder="1" applyAlignment="1" applyProtection="1">
      <alignment/>
      <protection locked="0"/>
    </xf>
    <xf numFmtId="43" fontId="8" fillId="0" borderId="4" xfId="17" applyNumberFormat="1" applyFont="1" applyBorder="1" applyAlignment="1" applyProtection="1">
      <alignment/>
      <protection locked="0"/>
    </xf>
    <xf numFmtId="43" fontId="3" fillId="2" borderId="6" xfId="17" applyNumberFormat="1" applyFont="1" applyFill="1" applyBorder="1" applyAlignment="1">
      <alignment/>
    </xf>
    <xf numFmtId="43" fontId="3" fillId="0" borderId="0" xfId="17" applyNumberFormat="1" applyFont="1" applyFill="1" applyBorder="1" applyAlignment="1">
      <alignment/>
    </xf>
    <xf numFmtId="43" fontId="4" fillId="0" borderId="0" xfId="17" applyNumberFormat="1" applyFont="1" applyBorder="1" applyAlignment="1">
      <alignment/>
    </xf>
    <xf numFmtId="43" fontId="4" fillId="0" borderId="4" xfId="21" applyNumberFormat="1" applyFont="1" applyBorder="1" applyAlignment="1">
      <alignment horizontal="center"/>
    </xf>
    <xf numFmtId="43" fontId="6" fillId="0" borderId="0" xfId="0" applyNumberFormat="1" applyFont="1" applyAlignment="1">
      <alignment/>
    </xf>
    <xf numFmtId="43" fontId="4" fillId="0" borderId="0" xfId="17" applyNumberFormat="1" applyFont="1" applyAlignment="1">
      <alignment/>
    </xf>
    <xf numFmtId="43" fontId="3" fillId="0" borderId="0" xfId="17" applyNumberFormat="1" applyFont="1" applyAlignment="1">
      <alignment horizontal="center"/>
    </xf>
    <xf numFmtId="41" fontId="3" fillId="0" borderId="20" xfId="17" applyNumberFormat="1" applyFont="1" applyBorder="1" applyAlignment="1">
      <alignment/>
    </xf>
    <xf numFmtId="41" fontId="4" fillId="0" borderId="20" xfId="17" applyNumberFormat="1" applyFont="1" applyBorder="1" applyAlignment="1">
      <alignment/>
    </xf>
    <xf numFmtId="41" fontId="3" fillId="0" borderId="21" xfId="17" applyNumberFormat="1" applyFont="1" applyBorder="1" applyAlignment="1">
      <alignment/>
    </xf>
    <xf numFmtId="41" fontId="3" fillId="2" borderId="22" xfId="17" applyNumberFormat="1" applyFont="1" applyFill="1" applyBorder="1" applyAlignment="1">
      <alignment/>
    </xf>
    <xf numFmtId="41" fontId="3" fillId="2" borderId="7" xfId="17" applyNumberFormat="1" applyFont="1" applyFill="1" applyBorder="1" applyAlignment="1">
      <alignment/>
    </xf>
    <xf numFmtId="41" fontId="7" fillId="0" borderId="23" xfId="17" applyNumberFormat="1" applyFont="1" applyFill="1" applyBorder="1" applyAlignment="1">
      <alignment/>
    </xf>
    <xf numFmtId="41" fontId="4" fillId="0" borderId="23" xfId="17" applyNumberFormat="1" applyFont="1" applyBorder="1" applyAlignment="1">
      <alignment/>
    </xf>
    <xf numFmtId="44" fontId="4" fillId="0" borderId="5" xfId="17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5" xfId="17" applyFont="1" applyBorder="1" applyAlignment="1">
      <alignment/>
    </xf>
    <xf numFmtId="44" fontId="6" fillId="0" borderId="0" xfId="17" applyFont="1" applyAlignment="1">
      <alignment/>
    </xf>
    <xf numFmtId="0" fontId="3" fillId="0" borderId="24" xfId="0" applyFont="1" applyBorder="1" applyAlignment="1" applyProtection="1">
      <alignment/>
      <protection hidden="1"/>
    </xf>
    <xf numFmtId="0" fontId="3" fillId="0" borderId="0" xfId="0" applyFont="1" applyBorder="1" applyAlignment="1">
      <alignment/>
    </xf>
    <xf numFmtId="15" fontId="8" fillId="0" borderId="0" xfId="0" applyNumberFormat="1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 indent="1"/>
      <protection hidden="1"/>
    </xf>
    <xf numFmtId="43" fontId="3" fillId="0" borderId="0" xfId="0" applyNumberFormat="1" applyFont="1" applyFill="1" applyBorder="1" applyAlignment="1">
      <alignment/>
    </xf>
    <xf numFmtId="43" fontId="3" fillId="0" borderId="25" xfId="17" applyNumberFormat="1" applyFont="1" applyFill="1" applyBorder="1" applyAlignment="1">
      <alignment/>
    </xf>
    <xf numFmtId="43" fontId="3" fillId="0" borderId="5" xfId="17" applyNumberFormat="1" applyFont="1" applyFill="1" applyBorder="1" applyAlignment="1">
      <alignment/>
    </xf>
    <xf numFmtId="0" fontId="4" fillId="0" borderId="3" xfId="0" applyFont="1" applyFill="1" applyBorder="1" applyAlignment="1" applyProtection="1">
      <alignment/>
      <protection hidden="1"/>
    </xf>
    <xf numFmtId="43" fontId="7" fillId="0" borderId="3" xfId="17" applyNumberFormat="1" applyFont="1" applyFill="1" applyBorder="1" applyAlignment="1" applyProtection="1">
      <alignment/>
      <protection locked="0"/>
    </xf>
    <xf numFmtId="9" fontId="3" fillId="0" borderId="3" xfId="21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43" fontId="4" fillId="0" borderId="3" xfId="17" applyNumberFormat="1" applyFont="1" applyBorder="1" applyAlignment="1" applyProtection="1">
      <alignment/>
      <protection hidden="1"/>
    </xf>
    <xf numFmtId="0" fontId="5" fillId="0" borderId="26" xfId="0" applyFont="1" applyBorder="1" applyAlignment="1" applyProtection="1">
      <alignment horizontal="center"/>
      <protection hidden="1"/>
    </xf>
    <xf numFmtId="0" fontId="5" fillId="0" borderId="27" xfId="0" applyFont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 horizontal="left"/>
      <protection hidden="1"/>
    </xf>
    <xf numFmtId="0" fontId="5" fillId="2" borderId="6" xfId="0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/>
      <protection hidden="1"/>
    </xf>
    <xf numFmtId="0" fontId="0" fillId="0" borderId="2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1</xdr:row>
      <xdr:rowOff>95250</xdr:rowOff>
    </xdr:from>
    <xdr:to>
      <xdr:col>5</xdr:col>
      <xdr:colOff>276225</xdr:colOff>
      <xdr:row>3</xdr:row>
      <xdr:rowOff>57150</xdr:rowOff>
    </xdr:to>
    <xdr:pic macro="[0]!SETRUS"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66700"/>
          <a:ext cx="4572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0.140625" style="30" customWidth="1"/>
    <col min="2" max="2" width="15.8515625" style="30" customWidth="1"/>
    <col min="3" max="3" width="10.8515625" style="31" customWidth="1"/>
    <col min="4" max="4" width="10.00390625" style="32" bestFit="1" customWidth="1"/>
    <col min="5" max="5" width="8.57421875" style="30" bestFit="1" customWidth="1"/>
    <col min="6" max="6" width="12.140625" style="32" bestFit="1" customWidth="1"/>
    <col min="7" max="7" width="10.421875" style="32" bestFit="1" customWidth="1"/>
    <col min="8" max="8" width="12.140625" style="32" bestFit="1" customWidth="1"/>
    <col min="9" max="16384" width="9.140625" style="30" customWidth="1"/>
  </cols>
  <sheetData>
    <row r="1" spans="1:8" s="18" customFormat="1" ht="13.5">
      <c r="A1" s="72" t="str">
        <f>CHOOSE(LANGSET,"Course Name:","Наименование курса:")</f>
        <v>Наименование курса:</v>
      </c>
      <c r="B1" s="72" t="str">
        <f>CHOOSE(LANGSET,"Audit","Аудит")</f>
        <v>Аудит</v>
      </c>
      <c r="C1" s="3"/>
      <c r="D1" s="2"/>
      <c r="E1" s="1"/>
      <c r="F1" s="42"/>
      <c r="G1" s="2"/>
      <c r="H1" s="43"/>
    </row>
    <row r="2" spans="1:8" s="18" customFormat="1" ht="13.5">
      <c r="A2" s="72" t="str">
        <f>CHOOSE(LANGSET,"Dates:","Дата:")</f>
        <v>Дата:</v>
      </c>
      <c r="B2" s="100">
        <v>37895</v>
      </c>
      <c r="C2" s="100">
        <v>37947</v>
      </c>
      <c r="D2" s="2"/>
      <c r="E2" s="1"/>
      <c r="F2" s="2"/>
      <c r="G2" s="2"/>
      <c r="H2" s="2"/>
    </row>
    <row r="3" spans="1:8" s="18" customFormat="1" ht="13.5">
      <c r="A3" s="72" t="str">
        <f>CHOOSE(LANGSET,"Training Provider:","Организация:")</f>
        <v>Организация:</v>
      </c>
      <c r="B3" s="38" t="s">
        <v>4</v>
      </c>
      <c r="C3" s="3"/>
      <c r="D3" s="19"/>
      <c r="E3" s="20"/>
      <c r="F3" s="21"/>
      <c r="G3" s="21"/>
      <c r="H3" s="21"/>
    </row>
    <row r="4" spans="1:8" s="18" customFormat="1" ht="13.5">
      <c r="A4" s="72" t="str">
        <f>CHOOSE(LANGSET,"Training City:","Город:")</f>
        <v>Город:</v>
      </c>
      <c r="B4" s="38" t="s">
        <v>1</v>
      </c>
      <c r="C4" s="3"/>
      <c r="D4" s="19"/>
      <c r="E4" s="20"/>
      <c r="F4" s="21"/>
      <c r="G4" s="21"/>
      <c r="H4" s="21"/>
    </row>
    <row r="5" spans="1:8" s="18" customFormat="1" ht="13.5">
      <c r="A5" s="72" t="str">
        <f>CHOOSE(LANGSET,"Training Address:","Адрес организации:")</f>
        <v>Адрес организации:</v>
      </c>
      <c r="B5" s="38" t="s">
        <v>2</v>
      </c>
      <c r="C5" s="3"/>
      <c r="D5" s="19"/>
      <c r="E5" s="20"/>
      <c r="F5" s="21"/>
      <c r="G5" s="21"/>
      <c r="H5" s="21"/>
    </row>
    <row r="6" spans="1:8" s="18" customFormat="1" ht="13.5">
      <c r="A6" s="72" t="str">
        <f>CHOOSE(LANGSET,"Training Times:","Даты обучения:")</f>
        <v>Даты обучения:</v>
      </c>
      <c r="B6" s="38" t="s">
        <v>3</v>
      </c>
      <c r="C6" s="3"/>
      <c r="D6" s="19"/>
      <c r="E6" s="20"/>
      <c r="F6" s="21"/>
      <c r="G6" s="21"/>
      <c r="H6" s="21"/>
    </row>
    <row r="7" spans="1:8" s="18" customFormat="1" ht="13.5">
      <c r="A7" s="99"/>
      <c r="B7" s="1"/>
      <c r="C7" s="3"/>
      <c r="D7" s="22"/>
      <c r="E7" s="16"/>
      <c r="F7" s="23"/>
      <c r="G7" s="24"/>
      <c r="H7" s="24"/>
    </row>
    <row r="8" spans="1:7" s="18" customFormat="1" ht="13.5">
      <c r="A8" s="98" t="str">
        <f>CHOOSE(LANGSET,"Assumptions/Basis for Costs","Допущения/Основа для затрат")</f>
        <v>Допущения/Основа для затрат</v>
      </c>
      <c r="B8" s="12"/>
      <c r="C8" s="13"/>
      <c r="D8" s="22"/>
      <c r="E8" s="16"/>
      <c r="F8" s="23"/>
      <c r="G8" s="23"/>
    </row>
    <row r="9" spans="1:7" s="18" customFormat="1" ht="13.5">
      <c r="A9" s="45" t="str">
        <f>CHOOSE(LANGSET,"Number of Participants","Количество участников")</f>
        <v>Количество участников</v>
      </c>
      <c r="B9" s="39">
        <v>15</v>
      </c>
      <c r="C9" s="46" t="str">
        <f>CHOOSE(LANGSET,"PPTs","Уч.")</f>
        <v>Уч.</v>
      </c>
      <c r="D9" s="2"/>
      <c r="E9" s="1"/>
      <c r="F9" s="2"/>
      <c r="G9" s="2"/>
    </row>
    <row r="10" spans="1:7" s="18" customFormat="1" ht="13.5">
      <c r="A10" s="45" t="str">
        <f>CHOOSE(LANGSET,"Hours Per Course","Количество часов")</f>
        <v>Количество часов</v>
      </c>
      <c r="B10" s="39">
        <v>60</v>
      </c>
      <c r="C10" s="46"/>
      <c r="D10" s="2"/>
      <c r="E10" s="1"/>
      <c r="F10" s="2"/>
      <c r="G10" s="2"/>
    </row>
    <row r="11" spans="1:8" s="18" customFormat="1" ht="13.5">
      <c r="A11" s="45" t="str">
        <f>CHOOSE(LANGSET,"Days Per Course","Продолжительность")</f>
        <v>Продолжительность</v>
      </c>
      <c r="B11" s="39">
        <v>15</v>
      </c>
      <c r="C11" s="46" t="str">
        <f>CHOOSE(LANGSET,"Days","Дней")</f>
        <v>Дней</v>
      </c>
      <c r="D11" s="2"/>
      <c r="E11" s="1"/>
      <c r="F11" s="2"/>
      <c r="G11" s="2"/>
      <c r="H11" s="2"/>
    </row>
    <row r="12" spans="1:8" s="18" customFormat="1" ht="13.5">
      <c r="A12" s="45" t="str">
        <f>CHOOSE(LANGSET,"Hours Per Day","Часов в день")</f>
        <v>Часов в день</v>
      </c>
      <c r="B12" s="76">
        <v>4</v>
      </c>
      <c r="C12" s="46" t="str">
        <f>CHOOSE(LANGSET,"Hours/Day","час/день")</f>
        <v>час/день</v>
      </c>
      <c r="D12" s="2"/>
      <c r="E12" s="1"/>
      <c r="F12" s="2"/>
      <c r="G12" s="2"/>
      <c r="H12" s="2"/>
    </row>
    <row r="13" spans="1:8" s="18" customFormat="1" ht="13.5">
      <c r="A13" s="105" t="str">
        <f>CHOOSE(LANGSET,"Tuition per Participant","Цена участия")</f>
        <v>Цена участия</v>
      </c>
      <c r="B13" s="106">
        <v>540</v>
      </c>
      <c r="C13" s="10"/>
      <c r="D13" s="2"/>
      <c r="E13" s="1"/>
      <c r="F13" s="2"/>
      <c r="G13" s="2"/>
      <c r="H13" s="2"/>
    </row>
    <row r="14" spans="1:8" s="18" customFormat="1" ht="13.5">
      <c r="A14" s="105" t="str">
        <f>CHOOSE(LANGSET,"Profit Margin %","Норма прибыли")</f>
        <v>Норма прибыли</v>
      </c>
      <c r="B14" s="107">
        <f>F50/F48</f>
        <v>-0.09506172839506173</v>
      </c>
      <c r="C14" s="10"/>
      <c r="D14" s="2"/>
      <c r="E14" s="1"/>
      <c r="F14" s="2"/>
      <c r="G14" s="2"/>
      <c r="H14" s="2"/>
    </row>
    <row r="15" spans="1:8" s="18" customFormat="1" ht="13.5">
      <c r="A15" s="45" t="str">
        <f>CHOOSE(LANGSET,"Labor Overhead","Начисления на заработную плату")</f>
        <v>Начисления на заработную плату</v>
      </c>
      <c r="B15" s="25">
        <v>0</v>
      </c>
      <c r="C15" s="10"/>
      <c r="D15" s="2"/>
      <c r="E15" s="1"/>
      <c r="F15" s="2"/>
      <c r="G15" s="2"/>
      <c r="H15" s="2"/>
    </row>
    <row r="16" spans="1:8" s="26" customFormat="1" ht="14.25" thickBot="1">
      <c r="A16" s="4"/>
      <c r="B16" s="4"/>
      <c r="C16" s="4" t="str">
        <f>CHOOSE(LANGSET,"Unit","Ед.")</f>
        <v>Ед.</v>
      </c>
      <c r="D16" s="5" t="str">
        <f>CHOOSE(LANGSET,"Rate (UAH)","Ст. (UAH)")</f>
        <v>Ст. (UAH)</v>
      </c>
      <c r="E16" s="4" t="str">
        <f>CHOOSE(LANGSET,"Quantity","Кол-во")</f>
        <v>Кол-во</v>
      </c>
      <c r="F16" s="5" t="str">
        <f>CHOOSE(LANGSET,"TOTAL","ИТОГО")</f>
        <v>ИТОГО</v>
      </c>
      <c r="G16" s="18"/>
      <c r="H16" s="18"/>
    </row>
    <row r="17" spans="1:6" s="18" customFormat="1" ht="15" customHeight="1">
      <c r="A17" s="111" t="str">
        <f>CHOOSE(LANGSET,"Variable Costs","Переменные затраты")</f>
        <v>Переменные затраты</v>
      </c>
      <c r="B17" s="112"/>
      <c r="C17" s="112"/>
      <c r="D17" s="6"/>
      <c r="E17" s="7"/>
      <c r="F17" s="8"/>
    </row>
    <row r="18" spans="1:9" s="18" customFormat="1" ht="13.5">
      <c r="A18" s="47" t="str">
        <f>CHOOSE(LANGSET,"Training Materials","Обучающие материалы")</f>
        <v>Обучающие материалы</v>
      </c>
      <c r="B18" s="45" t="str">
        <f>CHOOSE(LANGSET,"Books","Книги")</f>
        <v>Книги</v>
      </c>
      <c r="C18" s="48" t="str">
        <f>CHOOSE(LANGSET,"PPTs","Уч.")</f>
        <v>Уч.</v>
      </c>
      <c r="D18" s="110">
        <v>208</v>
      </c>
      <c r="E18" s="9">
        <f>B9</f>
        <v>15</v>
      </c>
      <c r="F18" s="86">
        <f aca="true" t="shared" si="0" ref="F18:F23">D18*E18</f>
        <v>3120</v>
      </c>
      <c r="I18" s="44"/>
    </row>
    <row r="19" spans="1:9" s="18" customFormat="1" ht="13.5">
      <c r="A19" s="47"/>
      <c r="B19" s="45" t="str">
        <f>CHOOSE(LANGSET,"Photocopies","Копир.")</f>
        <v>Копир.</v>
      </c>
      <c r="C19" s="48" t="str">
        <f>CHOOSE(LANGSET,"PPTs","Уч.")</f>
        <v>Уч.</v>
      </c>
      <c r="D19" s="77">
        <f>3*5</f>
        <v>15</v>
      </c>
      <c r="E19" s="9">
        <f>B9</f>
        <v>15</v>
      </c>
      <c r="F19" s="86">
        <f t="shared" si="0"/>
        <v>225</v>
      </c>
      <c r="I19" s="44"/>
    </row>
    <row r="20" spans="1:6" s="18" customFormat="1" ht="13.5">
      <c r="A20" s="47"/>
      <c r="B20" s="45" t="str">
        <f>CHOOSE(LANGSET,"Supplies","Канц.")</f>
        <v>Канц.</v>
      </c>
      <c r="C20" s="48" t="str">
        <f>CHOOSE(LANGSET,"PPTs","Уч.")</f>
        <v>Уч.</v>
      </c>
      <c r="D20" s="77">
        <f>30*5/15</f>
        <v>10</v>
      </c>
      <c r="E20" s="9">
        <f>B9</f>
        <v>15</v>
      </c>
      <c r="F20" s="86">
        <f t="shared" si="0"/>
        <v>150</v>
      </c>
    </row>
    <row r="21" spans="1:6" s="18" customFormat="1" ht="13.5">
      <c r="A21" s="47"/>
      <c r="B21" s="45" t="str">
        <f>CHOOSE(LANGSET,"Certificates","Сертиф")</f>
        <v>Сертиф</v>
      </c>
      <c r="C21" s="48" t="str">
        <f>CHOOSE(LANGSET,"PPTs","Уч.")</f>
        <v>Уч.</v>
      </c>
      <c r="D21" s="77">
        <v>0</v>
      </c>
      <c r="E21" s="9">
        <f>B9</f>
        <v>15</v>
      </c>
      <c r="F21" s="87">
        <f t="shared" si="0"/>
        <v>0</v>
      </c>
    </row>
    <row r="22" spans="1:6" s="18" customFormat="1" ht="13.5">
      <c r="A22" s="49"/>
      <c r="B22" s="50" t="str">
        <f>CHOOSE(LANGSET,"Other","Прочие")</f>
        <v>Прочие</v>
      </c>
      <c r="C22" s="51"/>
      <c r="D22" s="77">
        <f>100*5</f>
        <v>500</v>
      </c>
      <c r="E22" s="11">
        <v>1</v>
      </c>
      <c r="F22" s="86">
        <f t="shared" si="0"/>
        <v>500</v>
      </c>
    </row>
    <row r="23" spans="1:9" s="18" customFormat="1" ht="14.25" thickBot="1">
      <c r="A23" s="49" t="str">
        <f>CHOOSE(LANGSET,"Coffee Breaks","Перерыв на кофе")</f>
        <v>Перерыв на кофе</v>
      </c>
      <c r="B23" s="50"/>
      <c r="C23" s="51" t="str">
        <f>CHOOSE(LANGSET,"PPTs*Days","Уч.*День")</f>
        <v>Уч.*День</v>
      </c>
      <c r="D23" s="78">
        <v>1</v>
      </c>
      <c r="E23" s="11">
        <f>B9*B11</f>
        <v>225</v>
      </c>
      <c r="F23" s="88">
        <f t="shared" si="0"/>
        <v>225</v>
      </c>
      <c r="I23" s="44"/>
    </row>
    <row r="24" spans="1:6" s="18" customFormat="1" ht="14.25" thickBot="1">
      <c r="A24" s="113" t="str">
        <f>CHOOSE(LANGSET,"Total Variable Costs","Итого переменных затрат")</f>
        <v>Итого переменных затрат</v>
      </c>
      <c r="B24" s="114"/>
      <c r="C24" s="114"/>
      <c r="D24" s="79"/>
      <c r="E24" s="33"/>
      <c r="F24" s="90">
        <f>SUM(F18:F23)</f>
        <v>4220</v>
      </c>
    </row>
    <row r="25" spans="1:6" s="18" customFormat="1" ht="15.75" customHeight="1">
      <c r="A25" s="115" t="str">
        <f>CHOOSE(LANGSET,"Fixed Costs","Постоянные затраты")</f>
        <v>Постоянные затраты</v>
      </c>
      <c r="B25" s="115"/>
      <c r="C25" s="115"/>
      <c r="D25" s="80"/>
      <c r="E25" s="14"/>
      <c r="F25" s="91"/>
    </row>
    <row r="26" spans="1:6" s="18" customFormat="1" ht="13.5">
      <c r="A26" s="52" t="str">
        <f>CHOOSE(LANGSET,"Professional and Administrative Service","Профессиональные и административные услуги")</f>
        <v>Профессиональные и административные услуги</v>
      </c>
      <c r="B26" s="53"/>
      <c r="C26" s="54"/>
      <c r="D26" s="81"/>
      <c r="E26" s="12"/>
      <c r="F26" s="92"/>
    </row>
    <row r="27" spans="1:9" s="18" customFormat="1" ht="13.5">
      <c r="A27" s="47" t="str">
        <f>CHOOSE(LANGSET,"Trainer(s)","Преподаватель(и)")</f>
        <v>Преподаватель(и)</v>
      </c>
      <c r="B27" s="45"/>
      <c r="C27" s="48" t="str">
        <f>CHOOSE(LANGSET,"hours","час")</f>
        <v>час</v>
      </c>
      <c r="D27" s="77">
        <v>25</v>
      </c>
      <c r="E27" s="9">
        <f>B10</f>
        <v>60</v>
      </c>
      <c r="F27" s="86">
        <f>D27*E27</f>
        <v>1500</v>
      </c>
      <c r="I27" s="44"/>
    </row>
    <row r="28" spans="1:6" s="18" customFormat="1" ht="13.5">
      <c r="A28" s="47" t="str">
        <f>CHOOSE(LANGSET,"Manager(s)","Менеджер(ы)")</f>
        <v>Менеджер(ы)</v>
      </c>
      <c r="B28" s="45"/>
      <c r="C28" s="48" t="str">
        <f>CHOOSE(LANGSET,"persons","чел")</f>
        <v>чел</v>
      </c>
      <c r="D28" s="77">
        <f>330*5</f>
        <v>1650</v>
      </c>
      <c r="E28" s="40">
        <v>1</v>
      </c>
      <c r="F28" s="86">
        <f>D28*E28</f>
        <v>1650</v>
      </c>
    </row>
    <row r="29" spans="1:6" s="18" customFormat="1" ht="14.25" thickBot="1">
      <c r="A29" s="108" t="str">
        <f>CHOOSE(LANGSET,"Payroll Taxes as % of Total","Доля подоходного налога в общем объеме фонда зарплаты, ")</f>
        <v>Доля подоходного налога в общем объеме фонда зарплаты, </v>
      </c>
      <c r="B29" s="50"/>
      <c r="C29" s="51"/>
      <c r="D29" s="82">
        <f>$B$15</f>
        <v>0</v>
      </c>
      <c r="E29" s="40">
        <v>1</v>
      </c>
      <c r="F29" s="86">
        <f>$D$29*(SUM(F27:F28))</f>
        <v>0</v>
      </c>
    </row>
    <row r="30" spans="1:8" s="27" customFormat="1" ht="14.25" thickBot="1">
      <c r="A30" s="55" t="str">
        <f>CHOOSE(LANGSET,"Total Labor","Итого трудозатраты")</f>
        <v>Итого трудозатраты</v>
      </c>
      <c r="B30" s="56"/>
      <c r="C30" s="57"/>
      <c r="D30" s="79"/>
      <c r="E30" s="33"/>
      <c r="F30" s="90">
        <f>SUM(F27:F29)</f>
        <v>3150</v>
      </c>
      <c r="G30" s="18"/>
      <c r="H30" s="18"/>
    </row>
    <row r="31" spans="1:8" s="27" customFormat="1" ht="13.5">
      <c r="A31" s="58"/>
      <c r="B31" s="58"/>
      <c r="C31" s="58"/>
      <c r="D31" s="83"/>
      <c r="E31" s="18"/>
      <c r="F31" s="92"/>
      <c r="G31" s="18"/>
      <c r="H31" s="18"/>
    </row>
    <row r="32" spans="1:6" s="18" customFormat="1" ht="13.5">
      <c r="A32" s="52" t="str">
        <f>CHOOSE(LANGSET,"Travel Costs","Командировочные затраты")</f>
        <v>Командировочные затраты</v>
      </c>
      <c r="B32" s="53"/>
      <c r="C32" s="54"/>
      <c r="D32" s="81"/>
      <c r="E32" s="12"/>
      <c r="F32" s="92"/>
    </row>
    <row r="33" spans="1:6" s="18" customFormat="1" ht="13.5">
      <c r="A33" s="49" t="str">
        <f>CHOOSE(LANGSET,"Transportation","Транспортные затраты")</f>
        <v>Транспортные затраты</v>
      </c>
      <c r="B33" s="50"/>
      <c r="C33" s="48" t="str">
        <f>CHOOSE(LANGSET,"Course","Курс")</f>
        <v>Курс</v>
      </c>
      <c r="D33" s="78"/>
      <c r="E33" s="41">
        <v>1</v>
      </c>
      <c r="F33" s="86">
        <f>D33*E33</f>
        <v>0</v>
      </c>
    </row>
    <row r="34" spans="1:6" s="18" customFormat="1" ht="13.5">
      <c r="A34" s="49" t="str">
        <f>CHOOSE(LANGSET,"Lodging","Проживание")</f>
        <v>Проживание</v>
      </c>
      <c r="B34" s="50"/>
      <c r="C34" s="51" t="str">
        <f>CHOOSE(LANGSET,"Daily","Дн.ставка")</f>
        <v>Дн.ставка</v>
      </c>
      <c r="D34" s="78"/>
      <c r="E34" s="41">
        <v>1</v>
      </c>
      <c r="F34" s="86">
        <f>D34*E34</f>
        <v>0</v>
      </c>
    </row>
    <row r="35" spans="1:6" s="18" customFormat="1" ht="14.25" thickBot="1">
      <c r="A35" s="49" t="str">
        <f>CHOOSE(LANGSET,"Per Diem","Суточные")</f>
        <v>Суточные</v>
      </c>
      <c r="B35" s="50"/>
      <c r="C35" s="51" t="str">
        <f>CHOOSE(LANGSET,"Daily","Дн.ставка")</f>
        <v>Дн.ставка</v>
      </c>
      <c r="D35" s="78"/>
      <c r="E35" s="41">
        <v>2</v>
      </c>
      <c r="F35" s="86">
        <f>D35*E35</f>
        <v>0</v>
      </c>
    </row>
    <row r="36" spans="1:6" s="18" customFormat="1" ht="14.25" thickBot="1">
      <c r="A36" s="55" t="s">
        <v>0</v>
      </c>
      <c r="B36" s="56"/>
      <c r="C36" s="57"/>
      <c r="D36" s="79"/>
      <c r="E36" s="34"/>
      <c r="F36" s="89">
        <f>SUM(F33:F35)</f>
        <v>0</v>
      </c>
    </row>
    <row r="37" spans="1:6" s="18" customFormat="1" ht="13.5">
      <c r="A37" s="58"/>
      <c r="B37" s="58"/>
      <c r="C37" s="58"/>
      <c r="D37" s="83"/>
      <c r="F37" s="92"/>
    </row>
    <row r="38" spans="1:6" s="18" customFormat="1" ht="13.5">
      <c r="A38" s="52" t="str">
        <f>CHOOSE(LANGSET,"Other Costs","Прочие затраты")</f>
        <v>Прочие затраты</v>
      </c>
      <c r="B38" s="53"/>
      <c r="C38" s="54"/>
      <c r="D38" s="81"/>
      <c r="E38" s="12"/>
      <c r="F38" s="92"/>
    </row>
    <row r="39" spans="1:9" s="18" customFormat="1" ht="13.5">
      <c r="A39" s="59" t="str">
        <f>CHOOSE(LANGSET,"Equipped Classroom Rent + Utilities","Аренда  классной комнаты + коммунальные")</f>
        <v>Аренда  классной комнаты + коммунальные</v>
      </c>
      <c r="B39" s="60"/>
      <c r="C39" s="48" t="str">
        <f>CHOOSE(LANGSET,"Daily","Дн.ставка")</f>
        <v>Дн.ставка</v>
      </c>
      <c r="D39" s="77">
        <v>100</v>
      </c>
      <c r="E39" s="9">
        <f>B11</f>
        <v>15</v>
      </c>
      <c r="F39" s="86">
        <f>D39*E39</f>
        <v>1500</v>
      </c>
      <c r="I39" s="44"/>
    </row>
    <row r="40" spans="1:6" s="18" customFormat="1" ht="13.5">
      <c r="A40" s="59" t="str">
        <f>CHOOSE(LANGSET,"Markers for white board","Маркеры для белой доски")</f>
        <v>Маркеры для белой доски</v>
      </c>
      <c r="B40" s="60"/>
      <c r="C40" s="48" t="str">
        <f>CHOOSE(LANGSET,"Course","Курс")</f>
        <v>Курс</v>
      </c>
      <c r="D40" s="77">
        <v>0</v>
      </c>
      <c r="E40" s="9">
        <v>1</v>
      </c>
      <c r="F40" s="86">
        <f>D40*E40</f>
        <v>0</v>
      </c>
    </row>
    <row r="41" spans="1:9" s="18" customFormat="1" ht="13.5">
      <c r="A41" s="59" t="str">
        <f>CHOOSE(LANGSET,"Tel/fax/e-mail","Телефон/факс/эл.почта")</f>
        <v>Телефон/факс/эл.почта</v>
      </c>
      <c r="B41" s="61"/>
      <c r="C41" s="48" t="str">
        <f>CHOOSE(LANGSET,"Course","Курс")</f>
        <v>Курс</v>
      </c>
      <c r="D41" s="77">
        <v>0</v>
      </c>
      <c r="E41" s="9">
        <v>1</v>
      </c>
      <c r="F41" s="86">
        <f>D41*E41</f>
        <v>0</v>
      </c>
      <c r="I41" s="44"/>
    </row>
    <row r="42" spans="1:9" s="18" customFormat="1" ht="14.25" thickBot="1">
      <c r="A42" s="116" t="str">
        <f>CHOOSE(LANGSET,"Advertising","Реклама")</f>
        <v>Реклама</v>
      </c>
      <c r="B42" s="117"/>
      <c r="C42" s="48" t="str">
        <f>CHOOSE(LANGSET,"Course","Курс")</f>
        <v>Курс</v>
      </c>
      <c r="D42" s="77">
        <v>0</v>
      </c>
      <c r="E42" s="9">
        <v>1</v>
      </c>
      <c r="F42" s="86">
        <f>D42*E42</f>
        <v>0</v>
      </c>
      <c r="I42" s="44"/>
    </row>
    <row r="43" spans="1:6" s="18" customFormat="1" ht="14.25" thickBot="1">
      <c r="A43" s="55" t="str">
        <f>CHOOSE(LANGSET,"Total Other Costs","Итого прочие затраты")</f>
        <v>Итого прочие затраты</v>
      </c>
      <c r="B43" s="56"/>
      <c r="C43" s="62"/>
      <c r="D43" s="35"/>
      <c r="E43" s="34"/>
      <c r="F43" s="89">
        <f>SUM(F39:F42)</f>
        <v>1500</v>
      </c>
    </row>
    <row r="44" spans="1:6" s="18" customFormat="1" ht="14.25" thickBot="1">
      <c r="A44" s="63" t="str">
        <f>CHOOSE(LANGSET,"Total Fixed Costs","Итого постоянных затрат")</f>
        <v>Итого постоянных затрат</v>
      </c>
      <c r="B44" s="56"/>
      <c r="C44" s="62"/>
      <c r="D44" s="35"/>
      <c r="E44" s="34"/>
      <c r="F44" s="89">
        <f>F30+F36+F43</f>
        <v>4650</v>
      </c>
    </row>
    <row r="45" spans="1:6" s="18" customFormat="1" ht="14.25" thickBot="1">
      <c r="A45" s="64" t="str">
        <f>CHOOSE(LANGSET,"Total Variable and Fixed Costs","Итого переменных и постоянных затрат")</f>
        <v>Итого переменных и постоянных затрат</v>
      </c>
      <c r="B45" s="65"/>
      <c r="C45" s="66"/>
      <c r="D45" s="36"/>
      <c r="E45" s="37"/>
      <c r="F45" s="89">
        <f>F24+F44</f>
        <v>8870</v>
      </c>
    </row>
    <row r="46" spans="1:6" s="18" customFormat="1" ht="13.5">
      <c r="A46" s="53"/>
      <c r="B46" s="67"/>
      <c r="C46" s="54"/>
      <c r="D46" s="2"/>
      <c r="E46" s="1"/>
      <c r="F46" s="84"/>
    </row>
    <row r="47" spans="1:6" s="18" customFormat="1" ht="12.75">
      <c r="A47" s="70" t="str">
        <f>CHOOSE(LANGSET,"Income Statement Summary","Краткий отчет о финансовых результатах")</f>
        <v>Краткий отчет о финансовых результатах</v>
      </c>
      <c r="B47" s="68"/>
      <c r="C47" s="69"/>
      <c r="D47" s="2"/>
      <c r="E47" s="1"/>
      <c r="F47" s="85"/>
    </row>
    <row r="48" spans="1:8" s="27" customFormat="1" ht="12.75">
      <c r="A48" s="70" t="str">
        <f>CHOOSE(LANGSET,"Revenue","Доход")</f>
        <v>Доход</v>
      </c>
      <c r="B48" s="70"/>
      <c r="C48" s="71"/>
      <c r="D48" s="15"/>
      <c r="E48" s="14"/>
      <c r="F48" s="80">
        <f>$B$9*$B$13</f>
        <v>8100</v>
      </c>
      <c r="G48" s="18"/>
      <c r="H48" s="18"/>
    </row>
    <row r="49" spans="1:8" s="28" customFormat="1" ht="12.75">
      <c r="A49" s="70" t="str">
        <f>CHOOSE(LANGSET,"Less: Expenses","За вычетом затрат")</f>
        <v>За вычетом затрат</v>
      </c>
      <c r="B49" s="70"/>
      <c r="C49" s="71"/>
      <c r="D49" s="15"/>
      <c r="E49" s="14"/>
      <c r="F49" s="104">
        <f>F45</f>
        <v>8870</v>
      </c>
      <c r="G49" s="18"/>
      <c r="H49" s="18"/>
    </row>
    <row r="50" spans="1:8" s="28" customFormat="1" ht="13.5" thickBot="1">
      <c r="A50" s="70" t="str">
        <f>CHOOSE(LANGSET,"Profit","Прибыль")</f>
        <v>Прибыль</v>
      </c>
      <c r="B50" s="70"/>
      <c r="C50" s="71"/>
      <c r="D50" s="15"/>
      <c r="E50" s="14"/>
      <c r="F50" s="103">
        <f>F48-F49</f>
        <v>-770</v>
      </c>
      <c r="G50" s="18"/>
      <c r="H50" s="18"/>
    </row>
    <row r="51" spans="1:8" s="28" customFormat="1" ht="13.5" thickTop="1">
      <c r="A51" s="101"/>
      <c r="B51" s="70"/>
      <c r="C51" s="71"/>
      <c r="D51" s="15"/>
      <c r="E51" s="102"/>
      <c r="F51" s="80"/>
      <c r="G51" s="18"/>
      <c r="H51" s="18"/>
    </row>
    <row r="52" spans="1:8" s="28" customFormat="1" ht="12.75">
      <c r="A52" s="109" t="str">
        <f>CHOOSE(LANGSET,"Chemonics Contribution (Books) / Additional Profit","Вклад компании Кемоникс(книги)/ Дополнительная прибыль")</f>
        <v>Вклад компании Кемоникс(книги)/ Дополнительная прибыль</v>
      </c>
      <c r="B52" s="70"/>
      <c r="C52" s="71"/>
      <c r="D52" s="15"/>
      <c r="E52" s="14"/>
      <c r="F52" s="80">
        <f>F18</f>
        <v>3120</v>
      </c>
      <c r="G52" s="18"/>
      <c r="H52" s="18"/>
    </row>
    <row r="53" spans="7:8" s="28" customFormat="1" ht="12.75">
      <c r="G53" s="18"/>
      <c r="H53" s="18"/>
    </row>
    <row r="54" spans="1:8" s="27" customFormat="1" ht="12.75">
      <c r="A54" s="18"/>
      <c r="B54" s="18"/>
      <c r="C54" s="18"/>
      <c r="D54" s="18"/>
      <c r="E54" s="18"/>
      <c r="F54" s="18"/>
      <c r="G54" s="18"/>
      <c r="H54" s="18"/>
    </row>
    <row r="55" spans="1:7" s="18" customFormat="1" ht="12.75">
      <c r="A55" s="17"/>
      <c r="B55" s="93"/>
      <c r="C55" s="94"/>
      <c r="D55" s="93"/>
      <c r="E55" s="93"/>
      <c r="F55" s="93"/>
      <c r="G55" s="95"/>
    </row>
    <row r="56" spans="1:7" s="18" customFormat="1" ht="12.75">
      <c r="A56" s="74" t="str">
        <f>CHOOSE(LANGSET,"Date","Дата")</f>
        <v>Дата</v>
      </c>
      <c r="B56" s="74"/>
      <c r="C56" s="95"/>
      <c r="E56" s="75" t="str">
        <f>CHOOSE(LANGSET,"Signature (Training Provider)","Подпись (Организация)")</f>
        <v>Подпись (Организация)</v>
      </c>
      <c r="F56" s="75"/>
      <c r="G56" s="95"/>
    </row>
    <row r="57" spans="1:7" s="18" customFormat="1" ht="12.75">
      <c r="A57" s="17"/>
      <c r="B57" s="96"/>
      <c r="C57" s="95"/>
      <c r="D57" s="93"/>
      <c r="E57" s="93"/>
      <c r="F57" s="93"/>
      <c r="G57" s="95"/>
    </row>
    <row r="58" spans="1:7" s="18" customFormat="1" ht="12.75">
      <c r="A58" s="74" t="str">
        <f>CHOOSE(LANGSET,"Date","Дата")</f>
        <v>Дата</v>
      </c>
      <c r="B58" s="74"/>
      <c r="C58" s="95"/>
      <c r="E58" s="75" t="str">
        <f>CHOOSE(LANGSET,"Signature (Chemonics Representative)","Подпись (Представитель Кемоникс)")</f>
        <v>Подпись (Представитель Кемоникс)</v>
      </c>
      <c r="F58" s="75"/>
      <c r="G58" s="95"/>
    </row>
    <row r="59" spans="1:7" s="18" customFormat="1" ht="12.75">
      <c r="A59" s="29"/>
      <c r="B59" s="97"/>
      <c r="C59" s="95"/>
      <c r="D59" s="97"/>
      <c r="E59" s="97"/>
      <c r="F59" s="97"/>
      <c r="G59" s="95"/>
    </row>
    <row r="62" ht="11.25">
      <c r="A62" s="73">
        <v>2</v>
      </c>
    </row>
  </sheetData>
  <sheetProtection password="C5E4" sheet="1" objects="1" scenarios="1"/>
  <mergeCells count="4">
    <mergeCell ref="A17:C17"/>
    <mergeCell ref="A24:C24"/>
    <mergeCell ref="A25:C25"/>
    <mergeCell ref="A42:B42"/>
  </mergeCells>
  <printOptions/>
  <pageMargins left="0.551181102362205" right="0.551181102362205" top="0.5" bottom="0.5" header="0" footer="0"/>
  <pageSetup horizontalDpi="600" verticalDpi="600" orientation="portrait" paperSize="9" r:id="rId5"/>
  <drawing r:id="rId4"/>
  <legacyDrawing r:id="rId3"/>
  <oleObjects>
    <oleObject progId="FLW3Drawing" shapeId="174118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Raymond Mino</cp:lastModifiedBy>
  <cp:lastPrinted>2003-09-17T13:34:51Z</cp:lastPrinted>
  <dcterms:created xsi:type="dcterms:W3CDTF">2000-11-20T13:54:41Z</dcterms:created>
  <dcterms:modified xsi:type="dcterms:W3CDTF">2004-03-05T07:26:17Z</dcterms:modified>
  <cp:category/>
  <cp:version/>
  <cp:contentType/>
  <cp:contentStatus/>
</cp:coreProperties>
</file>